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ali/Desktop/"/>
    </mc:Choice>
  </mc:AlternateContent>
  <xr:revisionPtr revIDLastSave="0" documentId="13_ncr:1_{0A2FD025-1058-884B-B1C8-2C9EBE00E3FF}" xr6:coauthVersionLast="47" xr6:coauthVersionMax="47" xr10:uidLastSave="{00000000-0000-0000-0000-000000000000}"/>
  <bookViews>
    <workbookView xWindow="0" yWindow="740" windowWidth="34560" windowHeight="21600" xr2:uid="{B160FD18-2195-3149-98C9-AE4AC004C6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J10" i="1"/>
  <c r="J3" i="1"/>
  <c r="B2" i="1" s="1"/>
  <c r="C2" i="1" l="1"/>
  <c r="D2" i="1" s="1"/>
  <c r="B3" i="1" s="1"/>
  <c r="C3" i="1" s="1"/>
  <c r="D3" i="1" s="1"/>
  <c r="B4" i="1" s="1"/>
  <c r="C4" i="1" s="1"/>
  <c r="D4" i="1" s="1"/>
  <c r="B5" i="1" s="1"/>
  <c r="C5" i="1" s="1"/>
  <c r="D5" i="1" s="1"/>
  <c r="J9" i="1" l="1"/>
  <c r="J11" i="1" s="1"/>
  <c r="B6" i="1"/>
  <c r="C6" i="1" l="1"/>
  <c r="D6" i="1" l="1"/>
  <c r="B7" i="1" l="1"/>
  <c r="C7" i="1" l="1"/>
  <c r="D7" i="1" l="1"/>
  <c r="B8" i="1" l="1"/>
  <c r="C8" i="1" l="1"/>
  <c r="D8" i="1" l="1"/>
  <c r="B9" i="1" l="1"/>
  <c r="C9" i="1" l="1"/>
  <c r="D9" i="1" l="1"/>
  <c r="B10" i="1" l="1"/>
  <c r="C10" i="1" l="1"/>
  <c r="D10" i="1" l="1"/>
  <c r="B11" i="1" l="1"/>
  <c r="C11" i="1" s="1"/>
  <c r="D11" i="1" s="1"/>
  <c r="B12" i="1" l="1"/>
  <c r="C12" i="1" s="1"/>
  <c r="D12" i="1" s="1"/>
  <c r="B13" i="1" l="1"/>
  <c r="C13" i="1" s="1"/>
  <c r="D13" i="1" s="1"/>
  <c r="B14" i="1" l="1"/>
  <c r="C14" i="1" s="1"/>
  <c r="D14" i="1" s="1"/>
  <c r="B15" i="1" l="1"/>
  <c r="C15" i="1" s="1"/>
  <c r="D15" i="1" s="1"/>
  <c r="B16" i="1" l="1"/>
  <c r="C16" i="1" s="1"/>
  <c r="D16" i="1" s="1"/>
  <c r="B17" i="1" l="1"/>
  <c r="C17" i="1" s="1"/>
  <c r="D17" i="1" s="1"/>
  <c r="B18" i="1" l="1"/>
  <c r="C18" i="1" s="1"/>
  <c r="D18" i="1" s="1"/>
  <c r="B19" i="1" l="1"/>
  <c r="C19" i="1" s="1"/>
  <c r="D19" i="1" s="1"/>
  <c r="B20" i="1" l="1"/>
  <c r="C20" i="1" s="1"/>
  <c r="D20" i="1" s="1"/>
  <c r="B21" i="1" l="1"/>
  <c r="C21" i="1" s="1"/>
  <c r="D21" i="1" s="1"/>
  <c r="B22" i="1" l="1"/>
  <c r="C22" i="1" s="1"/>
  <c r="D22" i="1" s="1"/>
  <c r="B23" i="1" l="1"/>
  <c r="C23" i="1" s="1"/>
  <c r="D23" i="1" s="1"/>
  <c r="B24" i="1" l="1"/>
  <c r="C24" i="1" s="1"/>
  <c r="D24" i="1" s="1"/>
  <c r="B25" i="1" l="1"/>
  <c r="C25" i="1" s="1"/>
  <c r="D25" i="1" s="1"/>
  <c r="B26" i="1" l="1"/>
  <c r="C26" i="1" s="1"/>
  <c r="D26" i="1" s="1"/>
  <c r="B27" i="1" l="1"/>
  <c r="C27" i="1" s="1"/>
  <c r="D27" i="1" s="1"/>
  <c r="B28" i="1" l="1"/>
  <c r="C28" i="1" s="1"/>
  <c r="D28" i="1" s="1"/>
  <c r="B29" i="1" l="1"/>
  <c r="C29" i="1" s="1"/>
  <c r="D29" i="1" s="1"/>
  <c r="B30" i="1" l="1"/>
  <c r="C30" i="1" s="1"/>
  <c r="D30" i="1"/>
  <c r="B31" i="1" l="1"/>
  <c r="C31" i="1" l="1"/>
  <c r="B32" i="1"/>
  <c r="C32" i="1" l="1"/>
  <c r="G2" i="1" s="1"/>
  <c r="G4" i="1" s="1"/>
  <c r="D31" i="1"/>
</calcChain>
</file>

<file path=xl/sharedStrings.xml><?xml version="1.0" encoding="utf-8"?>
<sst xmlns="http://schemas.openxmlformats.org/spreadsheetml/2006/main" count="19" uniqueCount="19">
  <si>
    <t>Mortgage Calculations</t>
  </si>
  <si>
    <t>Home Price</t>
  </si>
  <si>
    <t>Interest Rate</t>
  </si>
  <si>
    <t>Loan term</t>
  </si>
  <si>
    <t>Property Taxes</t>
  </si>
  <si>
    <t>Monthly Payment</t>
  </si>
  <si>
    <t>Down Payment (20%)</t>
  </si>
  <si>
    <t>30 years</t>
  </si>
  <si>
    <t>Year</t>
  </si>
  <si>
    <t>Interest</t>
  </si>
  <si>
    <t>Principal</t>
  </si>
  <si>
    <t>End Balance</t>
  </si>
  <si>
    <t>Total Monthly Housing Cost:</t>
  </si>
  <si>
    <t>Homeowner's insurance (ann.)</t>
  </si>
  <si>
    <t>Total cost</t>
  </si>
  <si>
    <t>Repairs &amp; Maintenance</t>
  </si>
  <si>
    <t>Monthly Non-Mortgage Costs</t>
  </si>
  <si>
    <t>Total Mortgage Cost (P&amp;I)</t>
  </si>
  <si>
    <t>Insurance, Taxes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</si>
</sst>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0" formatCode="_-[$$-409]* #,##0.00_ ;_-[$$-409]* \-#,##0.00\ ;_-[$$-409]* &quot;-&quot;??_ ;_-@_ "/>
    <numFmt numFmtId="173" formatCode="_-[$$-409]* #,##0_ ;_-[$$-409]* \-#,##0\ ;_-[$$-409]* &quot;-&quot;??_ ;_-@_ 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igtree"/>
    </font>
    <font>
      <b/>
      <sz val="12"/>
      <color theme="1"/>
      <name val="Figtree"/>
    </font>
    <font>
      <b/>
      <sz val="16"/>
      <color theme="1"/>
      <name val="Figtree"/>
    </font>
    <font>
      <u/>
      <sz val="12"/>
      <color theme="10"/>
      <name val="Calibri"/>
      <family val="2"/>
      <scheme val="minor"/>
    </font>
    <font>
      <u/>
      <sz val="12"/>
      <color theme="10"/>
      <name val="Figtree"/>
    </font>
    <font>
      <b/>
      <u val="singleAccounting"/>
      <sz val="12"/>
      <color theme="1"/>
      <name val="Figtree"/>
    </font>
    <font>
      <sz val="12"/>
      <color theme="4" tint="-0.499984740745262"/>
      <name val="Figtree"/>
    </font>
    <font>
      <sz val="12"/>
      <color theme="4"/>
      <name val="Figtree"/>
    </font>
    <font>
      <b/>
      <sz val="14"/>
      <color rgb="FF141413"/>
      <name val="Figtree"/>
    </font>
    <font>
      <sz val="12"/>
      <color rgb="FF141413"/>
      <name val="Figtree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6" fillId="0" borderId="1" xfId="3" applyFont="1" applyBorder="1"/>
    <xf numFmtId="173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73" fontId="2" fillId="0" borderId="0" xfId="0" applyNumberFormat="1" applyFont="1"/>
    <xf numFmtId="173" fontId="3" fillId="0" borderId="0" xfId="0" applyNumberFormat="1" applyFont="1"/>
    <xf numFmtId="170" fontId="2" fillId="0" borderId="0" xfId="0" applyNumberFormat="1" applyFont="1"/>
    <xf numFmtId="173" fontId="2" fillId="0" borderId="1" xfId="0" applyNumberFormat="1" applyFont="1" applyBorder="1"/>
    <xf numFmtId="10" fontId="8" fillId="0" borderId="1" xfId="2" applyNumberFormat="1" applyFont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173" fontId="9" fillId="0" borderId="1" xfId="1" applyNumberFormat="1" applyFont="1" applyBorder="1" applyAlignment="1">
      <alignment horizontal="right"/>
    </xf>
    <xf numFmtId="0" fontId="10" fillId="0" borderId="0" xfId="0" applyFont="1"/>
    <xf numFmtId="170" fontId="2" fillId="0" borderId="1" xfId="0" applyNumberFormat="1" applyFont="1" applyBorder="1"/>
    <xf numFmtId="170" fontId="2" fillId="0" borderId="1" xfId="0" applyNumberFormat="1" applyFont="1" applyBorder="1" applyAlignment="1">
      <alignment horizontal="right"/>
    </xf>
    <xf numFmtId="0" fontId="11" fillId="0" borderId="1" xfId="0" applyFont="1" applyBorder="1"/>
    <xf numFmtId="170" fontId="7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173" fontId="2" fillId="0" borderId="5" xfId="0" applyNumberFormat="1" applyFont="1" applyBorder="1"/>
    <xf numFmtId="173" fontId="2" fillId="0" borderId="6" xfId="0" applyNumberFormat="1" applyFont="1" applyBorder="1"/>
    <xf numFmtId="173" fontId="3" fillId="0" borderId="7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1383875-B4C1-9F46-94F0-5BF998BA2C4D}">
  <we:reference id="wa200009404" version="1.0.0.5" store="en-GB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reddiemac.com/pm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3E0A-30A4-114F-9A00-8F7325AE0EA2}">
  <dimension ref="A1:J32"/>
  <sheetViews>
    <sheetView showGridLines="0" tabSelected="1" zoomScale="138" zoomScaleNormal="75" workbookViewId="0">
      <selection activeCell="F18" sqref="F18"/>
    </sheetView>
  </sheetViews>
  <sheetFormatPr baseColWidth="10" defaultRowHeight="16"/>
  <cols>
    <col min="1" max="1" width="7.33203125" style="1" bestFit="1" customWidth="1"/>
    <col min="2" max="2" width="11.5" style="1" bestFit="1" customWidth="1"/>
    <col min="3" max="3" width="12.33203125" style="1" bestFit="1" customWidth="1"/>
    <col min="4" max="4" width="15.6640625" style="1" bestFit="1" customWidth="1"/>
    <col min="5" max="5" width="10.83203125" style="1"/>
    <col min="6" max="6" width="29.5" style="1" customWidth="1"/>
    <col min="7" max="7" width="14.1640625" style="1" bestFit="1" customWidth="1"/>
    <col min="8" max="8" width="10.83203125" style="1"/>
    <col min="9" max="9" width="33.5" style="1" bestFit="1" customWidth="1"/>
    <col min="10" max="10" width="13.6640625" style="1" bestFit="1" customWidth="1"/>
    <col min="11" max="11" width="10.83203125" style="1"/>
    <col min="12" max="12" width="33.5" style="1" bestFit="1" customWidth="1"/>
    <col min="13" max="13" width="12.1640625" style="1" bestFit="1" customWidth="1"/>
    <col min="14" max="14" width="10.83203125" style="1"/>
    <col min="15" max="15" width="37.83203125" style="1" customWidth="1"/>
    <col min="16" max="16" width="12.6640625" style="1" customWidth="1"/>
    <col min="17" max="16384" width="10.83203125" style="1"/>
  </cols>
  <sheetData>
    <row r="1" spans="1:10" ht="21">
      <c r="A1" s="25" t="s">
        <v>8</v>
      </c>
      <c r="B1" s="25" t="s">
        <v>9</v>
      </c>
      <c r="C1" s="25" t="s">
        <v>10</v>
      </c>
      <c r="D1" s="25" t="s">
        <v>11</v>
      </c>
      <c r="I1" s="26" t="s">
        <v>0</v>
      </c>
      <c r="J1" s="26"/>
    </row>
    <row r="2" spans="1:10">
      <c r="A2" s="3">
        <v>1</v>
      </c>
      <c r="B2" s="10">
        <f>($J$2-$J$3)*$J$4</f>
        <v>24640</v>
      </c>
      <c r="C2" s="10">
        <f>PMT($J$4,30,-($J$2-$J$3))-B2</f>
        <v>4918.804605309575</v>
      </c>
      <c r="D2" s="10">
        <f>($J$2-$J$3)-C2</f>
        <v>395081.19539469044</v>
      </c>
      <c r="F2" s="19" t="s">
        <v>17</v>
      </c>
      <c r="G2" s="22">
        <f>B32+C32</f>
        <v>886764.13815928739</v>
      </c>
      <c r="I2" s="3" t="s">
        <v>1</v>
      </c>
      <c r="J2" s="13">
        <v>500000</v>
      </c>
    </row>
    <row r="3" spans="1:10">
      <c r="A3" s="3">
        <v>2</v>
      </c>
      <c r="B3" s="10">
        <f>D2*$J$4</f>
        <v>24337.001636312933</v>
      </c>
      <c r="C3" s="10">
        <f>PMT($J$4,30,-($J$2-$J$3))-B3</f>
        <v>5221.8029689966424</v>
      </c>
      <c r="D3" s="10">
        <f>D2-C3</f>
        <v>389859.3924256938</v>
      </c>
      <c r="F3" s="20" t="s">
        <v>18</v>
      </c>
      <c r="G3" s="23">
        <f>(J2*J6)*30 + (J2*J7)*30 + J8*30</f>
        <v>600000</v>
      </c>
      <c r="I3" s="3" t="s">
        <v>6</v>
      </c>
      <c r="J3" s="13">
        <f>J2*0.2</f>
        <v>100000</v>
      </c>
    </row>
    <row r="4" spans="1:10">
      <c r="A4" s="3">
        <v>3</v>
      </c>
      <c r="B4" s="10">
        <f>D3*$J$4</f>
        <v>24015.338573422738</v>
      </c>
      <c r="C4" s="10">
        <f>PMT($J$4,30,-($J$2-$J$3))-B4</f>
        <v>5543.4660318868373</v>
      </c>
      <c r="D4" s="10">
        <f t="shared" ref="D4:D31" si="0">D3-C4</f>
        <v>384315.92639380699</v>
      </c>
      <c r="F4" s="21" t="s">
        <v>14</v>
      </c>
      <c r="G4" s="24">
        <f>G2+G3</f>
        <v>1486764.1381592874</v>
      </c>
      <c r="I4" s="4" t="s">
        <v>2</v>
      </c>
      <c r="J4" s="11">
        <v>6.1600000000000002E-2</v>
      </c>
    </row>
    <row r="5" spans="1:10">
      <c r="A5" s="3">
        <v>4</v>
      </c>
      <c r="B5" s="10">
        <f>D4*$J$4</f>
        <v>23673.861065858513</v>
      </c>
      <c r="C5" s="10">
        <f>PMT($J$4,30,-($J$2-$J$3))-B5</f>
        <v>5884.943539451062</v>
      </c>
      <c r="D5" s="10">
        <f t="shared" si="0"/>
        <v>378430.98285435594</v>
      </c>
      <c r="I5" s="3" t="s">
        <v>3</v>
      </c>
      <c r="J5" s="6" t="s">
        <v>7</v>
      </c>
    </row>
    <row r="6" spans="1:10">
      <c r="A6" s="3">
        <v>5</v>
      </c>
      <c r="B6" s="10">
        <f>D5*$J$4</f>
        <v>23311.348543828328</v>
      </c>
      <c r="C6" s="10">
        <f>PMT($J$4,30,-($J$2-$J$3))-B6</f>
        <v>6247.4560614812472</v>
      </c>
      <c r="D6" s="10">
        <f t="shared" si="0"/>
        <v>372183.52679287468</v>
      </c>
      <c r="I6" s="3" t="s">
        <v>4</v>
      </c>
      <c r="J6" s="12">
        <v>1.2500000000000001E-2</v>
      </c>
    </row>
    <row r="7" spans="1:10">
      <c r="A7" s="3">
        <v>6</v>
      </c>
      <c r="B7" s="10">
        <f>D6*$J$4</f>
        <v>22926.505250441081</v>
      </c>
      <c r="C7" s="10">
        <f>PMT($J$4,30,-($J$2-$J$3))-B7</f>
        <v>6632.2993548684935</v>
      </c>
      <c r="D7" s="10">
        <f t="shared" si="0"/>
        <v>365551.2274380062</v>
      </c>
      <c r="I7" s="3" t="s">
        <v>15</v>
      </c>
      <c r="J7" s="12">
        <v>2.2499999999999999E-2</v>
      </c>
    </row>
    <row r="8" spans="1:10">
      <c r="A8" s="3">
        <v>7</v>
      </c>
      <c r="B8" s="10">
        <f>D7*$J$4</f>
        <v>22517.955610181183</v>
      </c>
      <c r="C8" s="10">
        <f>PMT($J$4,30,-($J$2-$J$3))-B8</f>
        <v>7040.8489951283918</v>
      </c>
      <c r="D8" s="10">
        <f t="shared" si="0"/>
        <v>358510.37844287779</v>
      </c>
      <c r="G8" s="9"/>
      <c r="I8" s="3" t="s">
        <v>13</v>
      </c>
      <c r="J8" s="5">
        <v>2500</v>
      </c>
    </row>
    <row r="9" spans="1:10">
      <c r="A9" s="3">
        <v>8</v>
      </c>
      <c r="B9" s="10">
        <f>D8*$J$4</f>
        <v>22084.239312081274</v>
      </c>
      <c r="C9" s="10">
        <f>PMT($J$4,30,-($J$2-$J$3))-B9</f>
        <v>7474.565293228301</v>
      </c>
      <c r="D9" s="10">
        <f t="shared" si="0"/>
        <v>351035.81314964948</v>
      </c>
      <c r="I9" s="3" t="s">
        <v>5</v>
      </c>
      <c r="J9" s="16">
        <f>(B2+C2)/12</f>
        <v>2463.2337171091312</v>
      </c>
    </row>
    <row r="10" spans="1:10">
      <c r="A10" s="3">
        <v>9</v>
      </c>
      <c r="B10" s="10">
        <f>D9*$J$4</f>
        <v>21623.80609001841</v>
      </c>
      <c r="C10" s="10">
        <f>PMT($J$4,30,-($J$2-$J$3))-B10</f>
        <v>7934.9985152911649</v>
      </c>
      <c r="D10" s="10">
        <f t="shared" si="0"/>
        <v>343100.81463435834</v>
      </c>
      <c r="I10" s="17" t="s">
        <v>16</v>
      </c>
      <c r="J10" s="15">
        <f>(J2*J6)/12 + (J2*J7)/12 + J8/12</f>
        <v>1666.6666666666667</v>
      </c>
    </row>
    <row r="11" spans="1:10" ht="21">
      <c r="A11" s="3">
        <v>10</v>
      </c>
      <c r="B11" s="10">
        <f>D10*$J$4</f>
        <v>21135.010181476475</v>
      </c>
      <c r="C11" s="10">
        <f>PMT($J$4,30,-($J$2-$J$3))-B11</f>
        <v>8423.7944238331002</v>
      </c>
      <c r="D11" s="10">
        <f t="shared" si="0"/>
        <v>334677.02021052525</v>
      </c>
      <c r="I11" s="14" t="s">
        <v>12</v>
      </c>
      <c r="J11" s="18">
        <f>J9+J10</f>
        <v>4129.9003837757982</v>
      </c>
    </row>
    <row r="12" spans="1:10">
      <c r="A12" s="3">
        <v>11</v>
      </c>
      <c r="B12" s="10">
        <f>D11*$J$4</f>
        <v>20616.104444968358</v>
      </c>
      <c r="C12" s="10">
        <f>PMT($J$4,30,-($J$2-$J$3))-B12</f>
        <v>8942.7001603412173</v>
      </c>
      <c r="D12" s="10">
        <f t="shared" si="0"/>
        <v>325734.32005018403</v>
      </c>
      <c r="G12" s="7"/>
    </row>
    <row r="13" spans="1:10">
      <c r="A13" s="3">
        <v>12</v>
      </c>
      <c r="B13" s="10">
        <f>D12*$J$4</f>
        <v>20065.234115091338</v>
      </c>
      <c r="C13" s="10">
        <f>PMT($J$4,30,-($J$2-$J$3))-B13</f>
        <v>9493.570490218237</v>
      </c>
      <c r="D13" s="10">
        <f t="shared" si="0"/>
        <v>316240.7495599658</v>
      </c>
    </row>
    <row r="14" spans="1:10">
      <c r="A14" s="3">
        <v>13</v>
      </c>
      <c r="B14" s="10">
        <f>D13*$J$4</f>
        <v>19480.430172893895</v>
      </c>
      <c r="C14" s="10">
        <f>PMT($J$4,30,-($J$2-$J$3))-B14</f>
        <v>10078.37443241568</v>
      </c>
      <c r="D14" s="10">
        <f t="shared" si="0"/>
        <v>306162.3751275501</v>
      </c>
    </row>
    <row r="15" spans="1:10">
      <c r="A15" s="3">
        <v>14</v>
      </c>
      <c r="B15" s="10">
        <f>D14*$J$4</f>
        <v>18859.602307857087</v>
      </c>
      <c r="C15" s="10">
        <f>PMT($J$4,30,-($J$2-$J$3))-B15</f>
        <v>10699.202297452488</v>
      </c>
      <c r="D15" s="10">
        <f t="shared" si="0"/>
        <v>295463.17283009761</v>
      </c>
    </row>
    <row r="16" spans="1:10">
      <c r="A16" s="3">
        <v>15</v>
      </c>
      <c r="B16" s="10">
        <f>D15*$J$4</f>
        <v>18200.531446334015</v>
      </c>
      <c r="C16" s="10">
        <f>PMT($J$4,30,-($J$2-$J$3))-B16</f>
        <v>11358.27315897556</v>
      </c>
      <c r="D16" s="10">
        <f t="shared" si="0"/>
        <v>284104.89967112202</v>
      </c>
    </row>
    <row r="17" spans="1:4">
      <c r="A17" s="3">
        <v>16</v>
      </c>
      <c r="B17" s="10">
        <f>D16*$J$4</f>
        <v>17500.861819741116</v>
      </c>
      <c r="C17" s="10">
        <f>PMT($J$4,30,-($J$2-$J$3))-B17</f>
        <v>12057.942785568459</v>
      </c>
      <c r="D17" s="10">
        <f t="shared" si="0"/>
        <v>272046.95688555355</v>
      </c>
    </row>
    <row r="18" spans="1:4">
      <c r="A18" s="3">
        <v>17</v>
      </c>
      <c r="B18" s="10">
        <f>D17*$J$4</f>
        <v>16758.092544150099</v>
      </c>
      <c r="C18" s="10">
        <f>PMT($J$4,30,-($J$2-$J$3))-B18</f>
        <v>12800.712061159476</v>
      </c>
      <c r="D18" s="10">
        <f t="shared" si="0"/>
        <v>259246.24482439406</v>
      </c>
    </row>
    <row r="19" spans="1:4">
      <c r="A19" s="3">
        <v>18</v>
      </c>
      <c r="B19" s="10">
        <f>D18*$J$4</f>
        <v>15969.568681182674</v>
      </c>
      <c r="C19" s="10">
        <f>PMT($J$4,30,-($J$2-$J$3))-B19</f>
        <v>13589.2359241269</v>
      </c>
      <c r="D19" s="10">
        <f t="shared" si="0"/>
        <v>245657.00890026716</v>
      </c>
    </row>
    <row r="20" spans="1:4">
      <c r="A20" s="3">
        <v>19</v>
      </c>
      <c r="B20" s="10">
        <f>D19*$J$4</f>
        <v>15132.471748256457</v>
      </c>
      <c r="C20" s="10">
        <f>PMT($J$4,30,-($J$2-$J$3))-B20</f>
        <v>14426.332857053118</v>
      </c>
      <c r="D20" s="10">
        <f t="shared" si="0"/>
        <v>231230.67604321404</v>
      </c>
    </row>
    <row r="21" spans="1:4">
      <c r="A21" s="3">
        <v>20</v>
      </c>
      <c r="B21" s="10">
        <f>D20*$J$4</f>
        <v>14243.809644261986</v>
      </c>
      <c r="C21" s="10">
        <f>PMT($J$4,30,-($J$2-$J$3))-B21</f>
        <v>15314.994961047589</v>
      </c>
      <c r="D21" s="10">
        <f t="shared" si="0"/>
        <v>215915.68108216644</v>
      </c>
    </row>
    <row r="22" spans="1:4">
      <c r="A22" s="3">
        <v>21</v>
      </c>
      <c r="B22" s="10">
        <f>D21*$J$4</f>
        <v>13300.405954661454</v>
      </c>
      <c r="C22" s="10">
        <f>PMT($J$4,30,-($J$2-$J$3))-B22</f>
        <v>16258.398650648121</v>
      </c>
      <c r="D22" s="10">
        <f t="shared" si="0"/>
        <v>199657.28243151831</v>
      </c>
    </row>
    <row r="23" spans="1:4">
      <c r="A23" s="3">
        <v>22</v>
      </c>
      <c r="B23" s="10">
        <f>D22*$J$4</f>
        <v>12298.888597781528</v>
      </c>
      <c r="C23" s="10">
        <f>PMT($J$4,30,-($J$2-$J$3))-B23</f>
        <v>17259.916007528045</v>
      </c>
      <c r="D23" s="10">
        <f t="shared" si="0"/>
        <v>182397.36642399026</v>
      </c>
    </row>
    <row r="24" spans="1:4">
      <c r="A24" s="3">
        <v>23</v>
      </c>
      <c r="B24" s="10">
        <f>D23*$J$4</f>
        <v>11235.677771717801</v>
      </c>
      <c r="C24" s="10">
        <f>PMT($J$4,30,-($J$2-$J$3))-B24</f>
        <v>18323.126833591774</v>
      </c>
      <c r="D24" s="10">
        <f t="shared" si="0"/>
        <v>164074.23959039847</v>
      </c>
    </row>
    <row r="25" spans="1:4">
      <c r="A25" s="3">
        <v>24</v>
      </c>
      <c r="B25" s="10">
        <f>D24*$J$4</f>
        <v>10106.973158768546</v>
      </c>
      <c r="C25" s="10">
        <f>PMT($J$4,30,-($J$2-$J$3))-B25</f>
        <v>19451.831446541029</v>
      </c>
      <c r="D25" s="10">
        <f t="shared" si="0"/>
        <v>144622.40814385744</v>
      </c>
    </row>
    <row r="26" spans="1:4">
      <c r="A26" s="3">
        <v>25</v>
      </c>
      <c r="B26" s="10">
        <f>D25*$J$4</f>
        <v>8908.740341661618</v>
      </c>
      <c r="C26" s="10">
        <f>PMT($J$4,30,-($J$2-$J$3))-B26</f>
        <v>20650.064263647957</v>
      </c>
      <c r="D26" s="10">
        <f t="shared" si="0"/>
        <v>123972.34388020948</v>
      </c>
    </row>
    <row r="27" spans="1:4">
      <c r="A27" s="3">
        <v>26</v>
      </c>
      <c r="B27" s="10">
        <f>D26*$J$4</f>
        <v>7636.6963830209042</v>
      </c>
      <c r="C27" s="10">
        <f>PMT($J$4,30,-($J$2-$J$3))-B27</f>
        <v>21922.108222288669</v>
      </c>
      <c r="D27" s="10">
        <f t="shared" si="0"/>
        <v>102050.2356579208</v>
      </c>
    </row>
    <row r="28" spans="1:4">
      <c r="A28" s="3">
        <v>27</v>
      </c>
      <c r="B28" s="10">
        <f>D27*$J$4</f>
        <v>6286.2945165279216</v>
      </c>
      <c r="C28" s="10">
        <f>PMT($J$4,30,-($J$2-$J$3))-B28</f>
        <v>23272.510088781652</v>
      </c>
      <c r="D28" s="10">
        <f t="shared" si="0"/>
        <v>78777.725569139147</v>
      </c>
    </row>
    <row r="29" spans="1:4">
      <c r="A29" s="3">
        <v>28</v>
      </c>
      <c r="B29" s="10">
        <f>D28*$J$4</f>
        <v>4852.7078950589712</v>
      </c>
      <c r="C29" s="10">
        <f>PMT($J$4,30,-($J$2-$J$3))-B29</f>
        <v>24706.096710250604</v>
      </c>
      <c r="D29" s="10">
        <f t="shared" si="0"/>
        <v>54071.628858888544</v>
      </c>
    </row>
    <row r="30" spans="1:4">
      <c r="A30" s="3">
        <v>29</v>
      </c>
      <c r="B30" s="10">
        <f>D29*$J$4</f>
        <v>3330.8123377075344</v>
      </c>
      <c r="C30" s="10">
        <f>PMT($J$4,30,-($J$2-$J$3))-B30</f>
        <v>26227.99226760204</v>
      </c>
      <c r="D30" s="10">
        <f t="shared" si="0"/>
        <v>27843.636591286504</v>
      </c>
    </row>
    <row r="31" spans="1:4">
      <c r="A31" s="3">
        <v>30</v>
      </c>
      <c r="B31" s="10">
        <f>D30*$J$4</f>
        <v>1715.1680140232486</v>
      </c>
      <c r="C31" s="10">
        <f>PMT($J$4,30,-($J$2-$J$3))-B31</f>
        <v>27843.636591286326</v>
      </c>
      <c r="D31" s="10">
        <f t="shared" si="0"/>
        <v>1.7826096154749393E-10</v>
      </c>
    </row>
    <row r="32" spans="1:4">
      <c r="A32" s="2"/>
      <c r="B32" s="8">
        <f>SUM(B2:B31)</f>
        <v>486764.13815928751</v>
      </c>
      <c r="C32" s="8">
        <f>SUM(C2:C31)</f>
        <v>399999.99999999983</v>
      </c>
      <c r="D32" s="8"/>
    </row>
  </sheetData>
  <mergeCells count="1">
    <mergeCell ref="I1:J1"/>
  </mergeCells>
  <hyperlinks>
    <hyperlink ref="I4" r:id="rId1" xr:uid="{11B365C5-7574-8D44-916E-E05D7161538F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 SROUTOU</dc:creator>
  <cp:lastModifiedBy>Mourad SROUTOU</cp:lastModifiedBy>
  <dcterms:created xsi:type="dcterms:W3CDTF">2026-01-15T07:34:06Z</dcterms:created>
  <dcterms:modified xsi:type="dcterms:W3CDTF">2026-01-15T09:30:56Z</dcterms:modified>
</cp:coreProperties>
</file>